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tephen\Documents\Professional\Teaching Company\4- DIY Engineering\06 - Building a Concrete Saiboat\"/>
    </mc:Choice>
  </mc:AlternateContent>
  <bookViews>
    <workbookView xWindow="0" yWindow="0" windowWidth="16380" windowHeight="8190" tabRatio="673"/>
  </bookViews>
  <sheets>
    <sheet name="basic buoyancy calc" sheetId="2" r:id="rId1"/>
    <sheet name="advanced buoyancy calcs" sheetId="3" r:id="rId2"/>
    <sheet name="freeboard vs thickness graph" sheetId="11" r:id="rId3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P34" i="3" l="1"/>
  <c r="S33" i="3"/>
  <c r="S34" i="3" s="1"/>
  <c r="P33" i="3"/>
  <c r="M33" i="3"/>
  <c r="M34" i="3" s="1"/>
  <c r="J33" i="3"/>
  <c r="J34" i="3" s="1"/>
  <c r="G33" i="3"/>
  <c r="G34" i="3" s="1"/>
  <c r="D33" i="3"/>
  <c r="D34" i="3" s="1"/>
  <c r="S30" i="3"/>
  <c r="P30" i="3"/>
  <c r="M30" i="3"/>
  <c r="J30" i="3"/>
  <c r="G30" i="3"/>
  <c r="D30" i="3"/>
  <c r="S26" i="3"/>
  <c r="S27" i="3" s="1"/>
  <c r="S28" i="3" s="1"/>
  <c r="S31" i="3" s="1"/>
  <c r="P26" i="3"/>
  <c r="P27" i="3" s="1"/>
  <c r="P28" i="3" s="1"/>
  <c r="P31" i="3" s="1"/>
  <c r="M26" i="3"/>
  <c r="M27" i="3" s="1"/>
  <c r="M28" i="3" s="1"/>
  <c r="M31" i="3" s="1"/>
  <c r="J26" i="3"/>
  <c r="J27" i="3" s="1"/>
  <c r="J28" i="3" s="1"/>
  <c r="J31" i="3" s="1"/>
  <c r="G26" i="3"/>
  <c r="G27" i="3" s="1"/>
  <c r="G28" i="3" s="1"/>
  <c r="G31" i="3" s="1"/>
  <c r="D26" i="3"/>
  <c r="D27" i="3" s="1"/>
  <c r="D28" i="3" s="1"/>
  <c r="D31" i="3" s="1"/>
  <c r="S20" i="3"/>
  <c r="P20" i="3"/>
  <c r="M20" i="3"/>
  <c r="J20" i="3"/>
  <c r="G20" i="3"/>
  <c r="D20" i="3"/>
  <c r="S18" i="3"/>
  <c r="P18" i="3"/>
  <c r="M18" i="3"/>
  <c r="J18" i="3"/>
  <c r="G18" i="3"/>
  <c r="D18" i="3"/>
  <c r="M13" i="3"/>
  <c r="M14" i="3" s="1"/>
  <c r="M15" i="3" s="1"/>
  <c r="M16" i="3" s="1"/>
  <c r="S12" i="3"/>
  <c r="S13" i="3" s="1"/>
  <c r="S14" i="3" s="1"/>
  <c r="S15" i="3" s="1"/>
  <c r="S16" i="3" s="1"/>
  <c r="S19" i="3" s="1"/>
  <c r="S21" i="3" s="1"/>
  <c r="S23" i="3" s="1"/>
  <c r="M12" i="3"/>
  <c r="J12" i="3"/>
  <c r="J13" i="3" s="1"/>
  <c r="J14" i="3" s="1"/>
  <c r="J15" i="3" s="1"/>
  <c r="J16" i="3" s="1"/>
  <c r="G12" i="3"/>
  <c r="G13" i="3" s="1"/>
  <c r="G14" i="3" s="1"/>
  <c r="D12" i="3"/>
  <c r="D13" i="3" s="1"/>
  <c r="D14" i="3" s="1"/>
  <c r="D15" i="3" s="1"/>
  <c r="D16" i="3" s="1"/>
  <c r="S10" i="3"/>
  <c r="S17" i="3" s="1"/>
  <c r="M10" i="3"/>
  <c r="M17" i="3" s="1"/>
  <c r="J10" i="3"/>
  <c r="J17" i="3" s="1"/>
  <c r="D10" i="3"/>
  <c r="D17" i="3" s="1"/>
  <c r="P6" i="3"/>
  <c r="P10" i="3" s="1"/>
  <c r="M6" i="3"/>
  <c r="G6" i="3"/>
  <c r="G10" i="3" s="1"/>
  <c r="G17" i="3" s="1"/>
  <c r="AA5" i="3"/>
  <c r="Z5" i="3"/>
  <c r="Y5" i="3"/>
  <c r="X5" i="3"/>
  <c r="W5" i="3"/>
  <c r="AB4" i="3"/>
  <c r="Z4" i="3"/>
  <c r="Y4" i="3"/>
  <c r="X4" i="3"/>
  <c r="W4" i="3"/>
  <c r="D13" i="2"/>
  <c r="D14" i="2" s="1"/>
  <c r="D15" i="2" s="1"/>
  <c r="D17" i="2" s="1"/>
  <c r="D6" i="2"/>
  <c r="D7" i="2" s="1"/>
  <c r="D8" i="2" s="1"/>
  <c r="D10" i="2" s="1"/>
  <c r="J19" i="3" l="1"/>
  <c r="J21" i="3" s="1"/>
  <c r="J23" i="3" s="1"/>
  <c r="M19" i="3"/>
  <c r="M21" i="3" s="1"/>
  <c r="M23" i="3" s="1"/>
  <c r="G15" i="3"/>
  <c r="G16" i="3" s="1"/>
  <c r="G19" i="3" s="1"/>
  <c r="G21" i="3" s="1"/>
  <c r="G23" i="3" s="1"/>
  <c r="D19" i="3"/>
  <c r="D21" i="3" s="1"/>
  <c r="D23" i="3" s="1"/>
  <c r="AA4" i="3"/>
  <c r="P12" i="3"/>
  <c r="P13" i="3" s="1"/>
  <c r="P14" i="3" s="1"/>
  <c r="P15" i="3" s="1"/>
  <c r="P16" i="3" s="1"/>
  <c r="P17" i="3" l="1"/>
  <c r="P19" i="3" s="1"/>
  <c r="P21" i="3" s="1"/>
  <c r="P23" i="3" s="1"/>
</calcChain>
</file>

<file path=xl/sharedStrings.xml><?xml version="1.0" encoding="utf-8"?>
<sst xmlns="http://schemas.openxmlformats.org/spreadsheetml/2006/main" count="259" uniqueCount="84">
  <si>
    <t>HULL WEIGHT</t>
  </si>
  <si>
    <t>Thickness =</t>
  </si>
  <si>
    <t>inches</t>
  </si>
  <si>
    <t>Length =</t>
  </si>
  <si>
    <t>Radius =</t>
  </si>
  <si>
    <t>Unit weight of concrete =</t>
  </si>
  <si>
    <t>lb/ft^3</t>
  </si>
  <si>
    <t>Inside radius =</t>
  </si>
  <si>
    <t>Volume of shell =</t>
  </si>
  <si>
    <t>in^3</t>
  </si>
  <si>
    <t>Weight of hull =</t>
  </si>
  <si>
    <t>lb</t>
  </si>
  <si>
    <t>Additional weight =</t>
  </si>
  <si>
    <t>Total Weight =</t>
  </si>
  <si>
    <t>WEIGHT OF DISPLACED WATER</t>
  </si>
  <si>
    <t>Freeboard =</t>
  </si>
  <si>
    <t>angle a =</t>
  </si>
  <si>
    <t>rad</t>
  </si>
  <si>
    <t>Displaced Area =</t>
  </si>
  <si>
    <t>in^2</t>
  </si>
  <si>
    <t>Displaced volume =</t>
  </si>
  <si>
    <t>Unit weight of water =</t>
  </si>
  <si>
    <t>Displaced Weight=</t>
  </si>
  <si>
    <t>Iteration 1</t>
  </si>
  <si>
    <t>Iteration 2</t>
  </si>
  <si>
    <t>Iteration 3</t>
  </si>
  <si>
    <t>Iteration 4</t>
  </si>
  <si>
    <t>Iteration 5</t>
  </si>
  <si>
    <t>Iteration 6</t>
  </si>
  <si>
    <t>WEIGHT OF BOAT</t>
  </si>
  <si>
    <t>Length=</t>
  </si>
  <si>
    <t>Thickness</t>
  </si>
  <si>
    <t>Outside radius=</t>
  </si>
  <si>
    <t>Freeboard</t>
  </si>
  <si>
    <t>Thickness=</t>
  </si>
  <si>
    <t>Keel depth</t>
  </si>
  <si>
    <t>Keel width</t>
  </si>
  <si>
    <t>Concrete Density</t>
  </si>
  <si>
    <t>Inside radius=</t>
  </si>
  <si>
    <t>cutaway, f'=</t>
  </si>
  <si>
    <t>alpha=</t>
  </si>
  <si>
    <t>degrees</t>
  </si>
  <si>
    <t>Proportion of circle=</t>
  </si>
  <si>
    <t>Cross-sectional Area of Shell=</t>
  </si>
  <si>
    <t>Volume of Shell=</t>
  </si>
  <si>
    <t>Volume one end=</t>
  </si>
  <si>
    <t>Keel Volume=</t>
  </si>
  <si>
    <t>Total Volume=</t>
  </si>
  <si>
    <t>lb/in^3</t>
  </si>
  <si>
    <t>Weight of Hull</t>
  </si>
  <si>
    <t>Additional Weight=</t>
  </si>
  <si>
    <t>Total Weight=</t>
  </si>
  <si>
    <t>DISPLACEMENT</t>
  </si>
  <si>
    <t>Freeboard=</t>
  </si>
  <si>
    <t>theta=</t>
  </si>
  <si>
    <t>Displaced Area=</t>
  </si>
  <si>
    <t>Displaced Volume=</t>
  </si>
  <si>
    <t>Density of Water=</t>
  </si>
  <si>
    <t>deg</t>
  </si>
  <si>
    <t>Max Heeling Angle=</t>
  </si>
  <si>
    <t>Buoyancy calculation for iterative determination of hull thickness and freeboard</t>
  </si>
  <si>
    <t>DATA FOR GRAPH:</t>
  </si>
  <si>
    <t>NOTES</t>
  </si>
  <si>
    <t>Based on beverage bottle length</t>
  </si>
  <si>
    <t>Based on beverage bottle radius</t>
  </si>
  <si>
    <t>Choose a shell thickness</t>
  </si>
  <si>
    <t>Enter keel size, only if keel will be…</t>
  </si>
  <si>
    <t>…included in buoyancy calculation.</t>
  </si>
  <si>
    <t>radius minus thickness</t>
  </si>
  <si>
    <t>cross-section angle of arc</t>
  </si>
  <si>
    <t>Semicircle=0.5; smaller if a cutaway is entered</t>
  </si>
  <si>
    <t>Reduction in freeboard if hull cross-section is not a semi-circle</t>
  </si>
  <si>
    <t>To account for mast &amp; sail</t>
  </si>
  <si>
    <t>Choose the freeboard for which Total Wight = Displaced Weight</t>
  </si>
  <si>
    <t>Hull weight + additional weight</t>
  </si>
  <si>
    <t>Angle of segment formed by waterline</t>
  </si>
  <si>
    <t>Area of the segment of the semi-circular cross-section</t>
  </si>
  <si>
    <t>Displaced area x length</t>
  </si>
  <si>
    <t>Total volume x density of concrete</t>
  </si>
  <si>
    <t>Displaced water x density of water</t>
  </si>
  <si>
    <t>Angle at which water flows over the gunwales</t>
  </si>
  <si>
    <t>Advanced buoyancy calculations used to geenrate graph of freeboard vs. thickness</t>
  </si>
  <si>
    <t>Also used to investigate the influences of (1) non-semicircular hull hsape, (2) effect of keel weight, and (3) effect of mast and sail weight.</t>
  </si>
  <si>
    <t>freeboard vs thickness graph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</si>
</sst>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name val="Calibri"/>
      <family val="2"/>
      <charset val="1"/>
    </font>
    <font>
      <b/>
      <sz val="11"/>
      <color rgb="FF1F4E79"/>
      <name val="Calibri"/>
      <family val="2"/>
      <charset val="1"/>
    </font>
    <font>
      <b/>
      <sz val="11"/>
      <color rgb="FFFF0000"/>
      <name val="Calibri"/>
      <family val="2"/>
      <charset val="1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6"/>
      <color rgb="FF000000"/>
      <name val="Calibri"/>
      <family val="2"/>
    </font>
    <font>
      <sz val="11"/>
      <name val="Calibri"/>
      <family val="2"/>
    </font>
    <font>
      <b/>
      <sz val="11"/>
      <color rgb="FF000099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/>
    <xf numFmtId="0" fontId="1" fillId="0" borderId="0" xfId="0" applyFont="1"/>
    <xf numFmtId="0" fontId="1" fillId="0" borderId="0" xfId="0" applyFont="1"/>
    <xf numFmtId="0" fontId="0" fillId="0" borderId="1" xfId="0" applyFont="1" applyBorder="1"/>
    <xf numFmtId="0" fontId="2" fillId="0" borderId="2" xfId="0" applyFont="1" applyBorder="1"/>
    <xf numFmtId="0" fontId="2" fillId="2" borderId="2" xfId="0" applyFont="1" applyFill="1" applyBorder="1"/>
    <xf numFmtId="0" fontId="2" fillId="0" borderId="3" xfId="0" applyFont="1" applyBorder="1"/>
    <xf numFmtId="0" fontId="0" fillId="0" borderId="4" xfId="0" applyBorder="1"/>
    <xf numFmtId="0" fontId="0" fillId="0" borderId="5" xfId="0" applyFont="1" applyBorder="1"/>
    <xf numFmtId="0" fontId="0" fillId="0" borderId="5" xfId="0" applyBorder="1"/>
    <xf numFmtId="0" fontId="0" fillId="0" borderId="6" xfId="0" applyFont="1" applyBorder="1"/>
    <xf numFmtId="0" fontId="3" fillId="0" borderId="0" xfId="0" applyFont="1"/>
    <xf numFmtId="0" fontId="3" fillId="0" borderId="0" xfId="0" applyFont="1"/>
    <xf numFmtId="0" fontId="0" fillId="0" borderId="5" xfId="0" applyFont="1" applyBorder="1"/>
    <xf numFmtId="0" fontId="0" fillId="0" borderId="7" xfId="0" applyFont="1" applyBorder="1"/>
    <xf numFmtId="0" fontId="0" fillId="0" borderId="8" xfId="0" applyFont="1" applyBorder="1"/>
    <xf numFmtId="2" fontId="0" fillId="0" borderId="5" xfId="0" applyNumberFormat="1" applyBorder="1"/>
    <xf numFmtId="0" fontId="0" fillId="0" borderId="9" xfId="0" applyFont="1" applyBorder="1"/>
    <xf numFmtId="0" fontId="0" fillId="0" borderId="10" xfId="0" applyFont="1" applyBorder="1"/>
    <xf numFmtId="0" fontId="0" fillId="0" borderId="11" xfId="0" applyBorder="1"/>
    <xf numFmtId="0" fontId="4" fillId="0" borderId="12" xfId="0" applyFont="1" applyBorder="1"/>
    <xf numFmtId="2" fontId="4" fillId="0" borderId="12" xfId="0" applyNumberFormat="1" applyFont="1" applyBorder="1"/>
    <xf numFmtId="0" fontId="4" fillId="0" borderId="13" xfId="0" applyFont="1" applyBorder="1"/>
    <xf numFmtId="2" fontId="4" fillId="0" borderId="0" xfId="0" applyNumberFormat="1" applyFont="1"/>
    <xf numFmtId="0" fontId="4" fillId="0" borderId="0" xfId="0" applyFont="1"/>
    <xf numFmtId="0" fontId="1" fillId="0" borderId="2" xfId="0" applyFont="1" applyBorder="1"/>
    <xf numFmtId="0" fontId="1" fillId="2" borderId="2" xfId="0" applyFont="1" applyFill="1" applyBorder="1"/>
    <xf numFmtId="0" fontId="1" fillId="0" borderId="3" xfId="0" applyFont="1" applyBorder="1"/>
    <xf numFmtId="2" fontId="0" fillId="0" borderId="7" xfId="0" applyNumberFormat="1" applyBorder="1"/>
    <xf numFmtId="0" fontId="4" fillId="0" borderId="14" xfId="0" applyFont="1" applyBorder="1"/>
    <xf numFmtId="2" fontId="4" fillId="0" borderId="14" xfId="0" applyNumberFormat="1" applyFont="1" applyBorder="1"/>
    <xf numFmtId="0" fontId="4" fillId="0" borderId="15" xfId="0" applyFont="1" applyBorder="1"/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0" borderId="16" xfId="0" applyBorder="1"/>
    <xf numFmtId="0" fontId="5" fillId="0" borderId="16" xfId="0" applyFont="1" applyBorder="1"/>
    <xf numFmtId="0" fontId="0" fillId="2" borderId="16" xfId="0" applyFill="1" applyBorder="1"/>
    <xf numFmtId="0" fontId="3" fillId="0" borderId="16" xfId="0" applyFont="1" applyBorder="1"/>
    <xf numFmtId="0" fontId="9" fillId="0" borderId="16" xfId="0" applyFont="1" applyBorder="1"/>
    <xf numFmtId="0" fontId="3" fillId="2" borderId="16" xfId="0" applyFont="1" applyFill="1" applyBorder="1"/>
    <xf numFmtId="0" fontId="0" fillId="3" borderId="16" xfId="0" applyFill="1" applyBorder="1"/>
    <xf numFmtId="0" fontId="4" fillId="0" borderId="16" xfId="0" applyFont="1" applyBorder="1"/>
    <xf numFmtId="0" fontId="8" fillId="0" borderId="16" xfId="0" applyFont="1" applyBorder="1"/>
    <xf numFmtId="2" fontId="4" fillId="0" borderId="16" xfId="0" applyNumberFormat="1" applyFont="1" applyBorder="1"/>
    <xf numFmtId="0" fontId="0" fillId="0" borderId="17" xfId="0" applyBorder="1"/>
    <xf numFmtId="0" fontId="9" fillId="0" borderId="17" xfId="0" applyFont="1" applyBorder="1"/>
    <xf numFmtId="0" fontId="0" fillId="2" borderId="17" xfId="0" applyFill="1" applyBorder="1"/>
    <xf numFmtId="0" fontId="0" fillId="0" borderId="14" xfId="0" applyBorder="1"/>
    <xf numFmtId="0" fontId="0" fillId="0" borderId="18" xfId="0" applyBorder="1"/>
    <xf numFmtId="0" fontId="5" fillId="0" borderId="14" xfId="0" applyFont="1" applyBorder="1"/>
    <xf numFmtId="0" fontId="1" fillId="0" borderId="14" xfId="0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ED7D31"/>
      <rgbColor rgb="FF595959"/>
      <rgbColor rgb="FF969696"/>
      <rgbColor rgb="FF003366"/>
      <rgbColor rgb="FF339966"/>
      <rgbColor rgb="FF003300"/>
      <rgbColor rgb="FF333300"/>
      <rgbColor rgb="FF993300"/>
      <rgbColor rgb="FF993366"/>
      <rgbColor rgb="FF1F4E7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'advanced buoyancy calcs'!$V$5</c:f>
              <c:strCache>
                <c:ptCount val="1"/>
                <c:pt idx="0">
                  <c:v>Freeboard</c:v>
                </c:pt>
              </c:strCache>
            </c:strRef>
          </c:tx>
          <c:spPr>
            <a:ln w="50760">
              <a:solidFill>
                <a:schemeClr val="accent1">
                  <a:lumMod val="50000"/>
                </a:schemeClr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'advanced buoyancy calcs'!$W$4:$AB$4</c:f>
              <c:numCache>
                <c:formatCode>General</c:formatCode>
                <c:ptCount val="6"/>
                <c:pt idx="0">
                  <c:v>0.125</c:v>
                </c:pt>
                <c:pt idx="1">
                  <c:v>0.1875</c:v>
                </c:pt>
                <c:pt idx="2">
                  <c:v>0.25</c:v>
                </c:pt>
                <c:pt idx="3">
                  <c:v>0.3125</c:v>
                </c:pt>
                <c:pt idx="4">
                  <c:v>0.375</c:v>
                </c:pt>
                <c:pt idx="5">
                  <c:v>0.39100000000000001</c:v>
                </c:pt>
              </c:numCache>
            </c:numRef>
          </c:xVal>
          <c:yVal>
            <c:numRef>
              <c:f>'advanced buoyancy calcs'!$W$5:$AB$5</c:f>
              <c:numCache>
                <c:formatCode>General</c:formatCode>
                <c:ptCount val="6"/>
                <c:pt idx="0">
                  <c:v>1.02</c:v>
                </c:pt>
                <c:pt idx="1">
                  <c:v>0.74</c:v>
                </c:pt>
                <c:pt idx="2">
                  <c:v>0.49</c:v>
                </c:pt>
                <c:pt idx="3">
                  <c:v>0.26500000000000001</c:v>
                </c:pt>
                <c:pt idx="4">
                  <c:v>0.05</c:v>
                </c:pt>
                <c:pt idx="5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5189048"/>
        <c:axId val="525186304"/>
      </c:scatterChart>
      <c:valAx>
        <c:axId val="525189048"/>
        <c:scaling>
          <c:orientation val="minMax"/>
          <c:min val="0.1"/>
        </c:scaling>
        <c:delete val="0"/>
        <c:axPos val="b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title>
          <c:tx>
            <c:rich>
              <a:bodyPr rot="0"/>
              <a:lstStyle/>
              <a:p>
                <a:pPr>
                  <a:defRPr sz="2400" b="1" strike="noStrike" spc="-1">
                    <a:solidFill>
                      <a:sysClr val="windowText" lastClr="000000"/>
                    </a:solidFill>
                    <a:uFill>
                      <a:solidFill>
                        <a:srgbClr val="FFFFFF"/>
                      </a:solidFill>
                    </a:uFill>
                    <a:latin typeface="Arial"/>
                  </a:defRPr>
                </a:pPr>
                <a:r>
                  <a:rPr lang="en-US" sz="2400" b="1" strike="noStrike" spc="-1">
                    <a:solidFill>
                      <a:sysClr val="windowText" lastClr="000000"/>
                    </a:solidFill>
                    <a:uFill>
                      <a:solidFill>
                        <a:srgbClr val="FFFFFF"/>
                      </a:solidFill>
                    </a:uFill>
                    <a:latin typeface="Arial"/>
                  </a:rPr>
                  <a:t>Hull Thickness (inches)</a:t>
                </a:r>
              </a:p>
            </c:rich>
          </c:tx>
          <c:layout/>
          <c:overlay val="0"/>
        </c:title>
        <c:numFmt formatCode="General" sourceLinked="0"/>
        <c:majorTickMark val="none"/>
        <c:minorTickMark val="none"/>
        <c:tickLblPos val="nextTo"/>
        <c:spPr>
          <a:ln w="9360">
            <a:solidFill>
              <a:srgbClr val="BFBFBF"/>
            </a:solidFill>
            <a:round/>
          </a:ln>
        </c:spPr>
        <c:txPr>
          <a:bodyPr/>
          <a:lstStyle/>
          <a:p>
            <a:pPr>
              <a:defRPr sz="2000" b="0" strike="noStrike" spc="-1">
                <a:solidFill>
                  <a:sysClr val="windowText" lastClr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  <a:endParaRPr lang="en-US"/>
          </a:p>
        </c:txPr>
        <c:crossAx val="525186304"/>
        <c:crosses val="autoZero"/>
        <c:crossBetween val="midCat"/>
      </c:valAx>
      <c:valAx>
        <c:axId val="525186304"/>
        <c:scaling>
          <c:orientation val="minMax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title>
          <c:tx>
            <c:rich>
              <a:bodyPr rot="-5400000"/>
              <a:lstStyle/>
              <a:p>
                <a:pPr>
                  <a:defRPr sz="2400" b="1" strike="noStrike" spc="-1">
                    <a:solidFill>
                      <a:sysClr val="windowText" lastClr="000000"/>
                    </a:solidFill>
                    <a:uFill>
                      <a:solidFill>
                        <a:srgbClr val="FFFFFF"/>
                      </a:solidFill>
                    </a:uFill>
                    <a:latin typeface="Arial"/>
                  </a:defRPr>
                </a:pPr>
                <a:r>
                  <a:rPr lang="en-US" sz="2400" b="1" strike="noStrike" spc="-1">
                    <a:solidFill>
                      <a:sysClr val="windowText" lastClr="000000"/>
                    </a:solidFill>
                    <a:uFill>
                      <a:solidFill>
                        <a:srgbClr val="FFFFFF"/>
                      </a:solidFill>
                    </a:uFill>
                    <a:latin typeface="Arial"/>
                  </a:rPr>
                  <a:t>Freeboard (inches)</a:t>
                </a:r>
              </a:p>
            </c:rich>
          </c:tx>
          <c:layout/>
          <c:overlay val="0"/>
        </c:title>
        <c:numFmt formatCode="General" sourceLinked="0"/>
        <c:majorTickMark val="none"/>
        <c:minorTickMark val="none"/>
        <c:tickLblPos val="nextTo"/>
        <c:spPr>
          <a:ln w="9360">
            <a:solidFill>
              <a:srgbClr val="BFBFBF"/>
            </a:solidFill>
            <a:round/>
          </a:ln>
        </c:spPr>
        <c:txPr>
          <a:bodyPr/>
          <a:lstStyle/>
          <a:p>
            <a:pPr>
              <a:defRPr sz="2000" b="0" strike="noStrike" spc="-1">
                <a:solidFill>
                  <a:sysClr val="windowText" lastClr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  <a:endParaRPr lang="en-US"/>
          </a:p>
        </c:txPr>
        <c:crossAx val="525189048"/>
        <c:crosses val="autoZero"/>
        <c:crossBetween val="midCat"/>
      </c:valAx>
      <c:spPr>
        <a:noFill/>
        <a:ln>
          <a:noFill/>
        </a:ln>
      </c:spPr>
    </c:plotArea>
    <c:plotVisOnly val="1"/>
    <c:dispBlanksAs val="gap"/>
    <c:showDLblsOverMax val="1"/>
  </c:chart>
  <c:spPr>
    <a:solidFill>
      <a:srgbClr val="FFFFFF"/>
    </a:solidFill>
    <a:ln w="9360">
      <a:solidFill>
        <a:srgbClr val="D9D9D9"/>
      </a:solidFill>
      <a:round/>
    </a:ln>
  </c:sp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3836" cy="628911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7"/>
  <sheetViews>
    <sheetView tabSelected="1" zoomScale="118" zoomScaleNormal="118" workbookViewId="0">
      <selection activeCell="B1" sqref="B1"/>
    </sheetView>
  </sheetViews>
  <sheetFormatPr defaultRowHeight="15" x14ac:dyDescent="0.25"/>
  <cols>
    <col min="1" max="1" width="3.5703125" customWidth="1"/>
    <col min="2" max="2" width="29.28515625" customWidth="1"/>
    <col min="3" max="3" width="22.42578125" customWidth="1"/>
    <col min="4" max="4" width="9" customWidth="1"/>
    <col min="5" max="5" width="8.7109375" customWidth="1"/>
    <col min="6" max="6" width="3.7109375" customWidth="1"/>
    <col min="7" max="8" width="9.140625" style="1" customWidth="1"/>
    <col min="9" max="9" width="1.140625" style="1" customWidth="1"/>
    <col min="10" max="11" width="9.140625" style="1" customWidth="1"/>
    <col min="12" max="12" width="1.42578125" style="1" customWidth="1"/>
    <col min="13" max="14" width="9.140625" style="1" customWidth="1"/>
    <col min="15" max="15" width="1.42578125" style="1" customWidth="1"/>
    <col min="16" max="17" width="9.140625" style="1" customWidth="1"/>
    <col min="18" max="18" width="1.5703125" style="1" customWidth="1"/>
    <col min="19" max="19" width="9.5703125" style="1" customWidth="1"/>
    <col min="20" max="20" width="11.7109375" style="1" customWidth="1"/>
    <col min="21" max="21" width="1.5703125" style="1" customWidth="1"/>
    <col min="22" max="22" width="11" style="1" customWidth="1"/>
    <col min="23" max="28" width="9.140625" style="1" customWidth="1"/>
    <col min="29" max="1025" width="8.7109375" customWidth="1"/>
  </cols>
  <sheetData>
    <row r="1" spans="1:20" ht="21" x14ac:dyDescent="0.35">
      <c r="A1" s="36" t="s">
        <v>60</v>
      </c>
      <c r="B1" t="s">
        <v>83</v>
      </c>
      <c r="D1" s="2"/>
      <c r="E1" s="2"/>
      <c r="F1" s="2"/>
      <c r="G1" s="3"/>
      <c r="H1" s="3"/>
      <c r="J1" s="3"/>
      <c r="K1" s="3"/>
      <c r="M1" s="3"/>
      <c r="N1" s="3"/>
      <c r="P1" s="3"/>
      <c r="Q1" s="3"/>
      <c r="S1" s="3"/>
      <c r="T1" s="3"/>
    </row>
    <row r="2" spans="1:20" x14ac:dyDescent="0.25">
      <c r="B2" s="4" t="s">
        <v>0</v>
      </c>
      <c r="C2" s="5" t="s">
        <v>1</v>
      </c>
      <c r="D2" s="6">
        <v>0.25</v>
      </c>
      <c r="E2" s="7" t="s">
        <v>2</v>
      </c>
    </row>
    <row r="3" spans="1:20" x14ac:dyDescent="0.25">
      <c r="B3" s="8"/>
      <c r="C3" s="9" t="s">
        <v>3</v>
      </c>
      <c r="D3" s="10">
        <v>7.5</v>
      </c>
      <c r="E3" s="11" t="s">
        <v>2</v>
      </c>
    </row>
    <row r="4" spans="1:20" x14ac:dyDescent="0.25">
      <c r="B4" s="8"/>
      <c r="C4" s="9" t="s">
        <v>4</v>
      </c>
      <c r="D4" s="10">
        <v>2.15</v>
      </c>
      <c r="E4" s="11" t="s">
        <v>2</v>
      </c>
      <c r="F4" s="12"/>
      <c r="G4" s="13"/>
      <c r="H4" s="13"/>
      <c r="I4" s="13"/>
      <c r="M4" s="13"/>
      <c r="N4" s="13"/>
      <c r="O4" s="13"/>
      <c r="P4" s="13"/>
      <c r="Q4" s="13"/>
      <c r="R4" s="13"/>
      <c r="S4" s="13"/>
      <c r="T4" s="13"/>
    </row>
    <row r="5" spans="1:20" x14ac:dyDescent="0.25">
      <c r="B5" s="8"/>
      <c r="C5" s="9" t="s">
        <v>5</v>
      </c>
      <c r="D5" s="14">
        <v>140</v>
      </c>
      <c r="E5" s="11" t="s">
        <v>6</v>
      </c>
    </row>
    <row r="6" spans="1:20" hidden="1" x14ac:dyDescent="0.25">
      <c r="B6" s="8"/>
      <c r="C6" s="15" t="s">
        <v>7</v>
      </c>
      <c r="D6" s="15">
        <f>D4-D2</f>
        <v>1.9</v>
      </c>
      <c r="E6" s="16" t="s">
        <v>2</v>
      </c>
    </row>
    <row r="7" spans="1:20" hidden="1" x14ac:dyDescent="0.25">
      <c r="B7" s="8"/>
      <c r="C7" s="9" t="s">
        <v>8</v>
      </c>
      <c r="D7" s="9">
        <f>3.14159/2*(D4^2*D3-D6^2*(D3-2*D2))</f>
        <v>14.763509506249994</v>
      </c>
      <c r="E7" s="11" t="s">
        <v>9</v>
      </c>
    </row>
    <row r="8" spans="1:20" x14ac:dyDescent="0.25">
      <c r="B8" s="8"/>
      <c r="C8" s="9" t="s">
        <v>10</v>
      </c>
      <c r="D8" s="17">
        <f>D7*D5/12^3</f>
        <v>1.1961176683304393</v>
      </c>
      <c r="E8" s="11" t="s">
        <v>11</v>
      </c>
    </row>
    <row r="9" spans="1:20" x14ac:dyDescent="0.25">
      <c r="B9" s="8"/>
      <c r="C9" s="18" t="s">
        <v>12</v>
      </c>
      <c r="D9" s="18">
        <v>0.2</v>
      </c>
      <c r="E9" s="19" t="s">
        <v>11</v>
      </c>
    </row>
    <row r="10" spans="1:20" x14ac:dyDescent="0.25">
      <c r="B10" s="20"/>
      <c r="C10" s="21" t="s">
        <v>13</v>
      </c>
      <c r="D10" s="22">
        <f>D8+D9</f>
        <v>1.3961176683304393</v>
      </c>
      <c r="E10" s="23" t="s">
        <v>11</v>
      </c>
      <c r="G10" s="24"/>
      <c r="H10" s="25"/>
      <c r="J10" s="24"/>
      <c r="K10" s="25"/>
      <c r="M10" s="24"/>
      <c r="N10" s="25"/>
      <c r="P10" s="24"/>
      <c r="Q10" s="25"/>
      <c r="S10" s="24"/>
      <c r="T10" s="25"/>
    </row>
    <row r="11" spans="1:20" ht="15.75" customHeight="1" x14ac:dyDescent="0.25"/>
    <row r="12" spans="1:20" x14ac:dyDescent="0.25">
      <c r="B12" s="4" t="s">
        <v>14</v>
      </c>
      <c r="C12" s="26" t="s">
        <v>15</v>
      </c>
      <c r="D12" s="27">
        <v>0.49</v>
      </c>
      <c r="E12" s="28" t="s">
        <v>2</v>
      </c>
    </row>
    <row r="13" spans="1:20" x14ac:dyDescent="0.25">
      <c r="B13" s="8"/>
      <c r="C13" s="15" t="s">
        <v>16</v>
      </c>
      <c r="D13" s="29">
        <f>ACOS(D12/D4)</f>
        <v>1.3408687809671158</v>
      </c>
      <c r="E13" s="16" t="s">
        <v>17</v>
      </c>
    </row>
    <row r="14" spans="1:20" hidden="1" x14ac:dyDescent="0.25">
      <c r="B14" s="8"/>
      <c r="C14" s="9" t="s">
        <v>18</v>
      </c>
      <c r="D14" s="17">
        <f>D4^2/2*(2*D13-SIN(2*D13))</f>
        <v>5.1723909939431367</v>
      </c>
      <c r="E14" s="11" t="s">
        <v>19</v>
      </c>
    </row>
    <row r="15" spans="1:20" x14ac:dyDescent="0.25">
      <c r="B15" s="8"/>
      <c r="C15" s="9" t="s">
        <v>20</v>
      </c>
      <c r="D15" s="17">
        <f>D14*D3</f>
        <v>38.792932454573524</v>
      </c>
      <c r="E15" s="11" t="s">
        <v>9</v>
      </c>
    </row>
    <row r="16" spans="1:20" x14ac:dyDescent="0.25">
      <c r="B16" s="8"/>
      <c r="C16" s="18" t="s">
        <v>21</v>
      </c>
      <c r="D16" s="18">
        <v>62.43</v>
      </c>
      <c r="E16" s="19" t="s">
        <v>6</v>
      </c>
    </row>
    <row r="17" spans="2:20" x14ac:dyDescent="0.25">
      <c r="B17" s="20"/>
      <c r="C17" s="30" t="s">
        <v>22</v>
      </c>
      <c r="D17" s="31">
        <f>D15*D16/12^3</f>
        <v>1.4015293826036026</v>
      </c>
      <c r="E17" s="32" t="s">
        <v>11</v>
      </c>
      <c r="G17" s="24"/>
      <c r="H17" s="25"/>
      <c r="J17" s="24"/>
      <c r="K17" s="25"/>
      <c r="M17" s="24"/>
      <c r="N17" s="25"/>
      <c r="P17" s="24"/>
      <c r="Q17" s="25"/>
      <c r="S17" s="24"/>
      <c r="T17" s="25"/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4"/>
  <sheetViews>
    <sheetView zoomScaleNormal="100" workbookViewId="0">
      <selection activeCell="C37" sqref="C37"/>
    </sheetView>
  </sheetViews>
  <sheetFormatPr defaultRowHeight="15" x14ac:dyDescent="0.25"/>
  <cols>
    <col min="1" max="1" width="16.85546875" customWidth="1"/>
    <col min="2" max="2" width="29.7109375" customWidth="1"/>
    <col min="3" max="3" width="58.7109375" style="33" customWidth="1"/>
    <col min="4" max="5" width="8.7109375" customWidth="1"/>
    <col min="6" max="6" width="0.85546875" customWidth="1"/>
    <col min="7" max="8" width="8.7109375" customWidth="1"/>
    <col min="9" max="9" width="1.140625" customWidth="1"/>
    <col min="10" max="11" width="8.7109375" customWidth="1"/>
    <col min="12" max="12" width="1.42578125" customWidth="1"/>
    <col min="13" max="14" width="8.7109375" customWidth="1"/>
    <col min="15" max="15" width="1.42578125" customWidth="1"/>
    <col min="16" max="17" width="8.7109375" customWidth="1"/>
    <col min="18" max="18" width="1.5703125" customWidth="1"/>
    <col min="19" max="19" width="9.5703125" customWidth="1"/>
    <col min="20" max="20" width="11.7109375" customWidth="1"/>
    <col min="21" max="21" width="1.5703125" customWidth="1"/>
    <col min="22" max="22" width="11" customWidth="1"/>
    <col min="23" max="1026" width="8.7109375" customWidth="1"/>
  </cols>
  <sheetData>
    <row r="1" spans="1:28" s="33" customFormat="1" ht="21" x14ac:dyDescent="0.35">
      <c r="A1" s="36" t="s">
        <v>81</v>
      </c>
    </row>
    <row r="2" spans="1:28" s="33" customFormat="1" ht="15.75" x14ac:dyDescent="0.25">
      <c r="A2" s="35" t="s">
        <v>82</v>
      </c>
    </row>
    <row r="3" spans="1:28" ht="15.75" thickBot="1" x14ac:dyDescent="0.3">
      <c r="A3" s="50"/>
      <c r="B3" s="50"/>
      <c r="C3" s="52" t="s">
        <v>62</v>
      </c>
      <c r="D3" s="53" t="s">
        <v>23</v>
      </c>
      <c r="E3" s="53"/>
      <c r="F3" s="53"/>
      <c r="G3" s="53" t="s">
        <v>24</v>
      </c>
      <c r="H3" s="53"/>
      <c r="I3" s="50"/>
      <c r="J3" s="53" t="s">
        <v>25</v>
      </c>
      <c r="K3" s="53"/>
      <c r="L3" s="50"/>
      <c r="M3" s="53" t="s">
        <v>26</v>
      </c>
      <c r="N3" s="53"/>
      <c r="O3" s="50"/>
      <c r="P3" s="53" t="s">
        <v>27</v>
      </c>
      <c r="Q3" s="53"/>
      <c r="R3" s="50"/>
      <c r="S3" s="53" t="s">
        <v>28</v>
      </c>
      <c r="T3" s="53"/>
      <c r="V3" s="34" t="s">
        <v>61</v>
      </c>
    </row>
    <row r="4" spans="1:28" x14ac:dyDescent="0.25">
      <c r="A4" t="s">
        <v>29</v>
      </c>
      <c r="B4" s="47" t="s">
        <v>30</v>
      </c>
      <c r="C4" s="47" t="s">
        <v>63</v>
      </c>
      <c r="D4" s="49">
        <v>7.5</v>
      </c>
      <c r="E4" s="47" t="s">
        <v>2</v>
      </c>
      <c r="F4" s="47"/>
      <c r="G4" s="49">
        <v>7.5</v>
      </c>
      <c r="H4" s="47" t="s">
        <v>2</v>
      </c>
      <c r="I4" s="47"/>
      <c r="J4" s="49">
        <v>7.5</v>
      </c>
      <c r="K4" s="47" t="s">
        <v>2</v>
      </c>
      <c r="L4" s="47"/>
      <c r="M4" s="49">
        <v>7.5</v>
      </c>
      <c r="N4" s="47" t="s">
        <v>2</v>
      </c>
      <c r="O4" s="47"/>
      <c r="P4" s="49">
        <v>7.5</v>
      </c>
      <c r="Q4" s="47" t="s">
        <v>2</v>
      </c>
      <c r="R4" s="47"/>
      <c r="S4" s="49">
        <v>7.5</v>
      </c>
      <c r="T4" s="47" t="s">
        <v>2</v>
      </c>
      <c r="V4" s="38" t="s">
        <v>31</v>
      </c>
      <c r="W4" s="37">
        <f>D6</f>
        <v>0.125</v>
      </c>
      <c r="X4" s="37">
        <f>G6</f>
        <v>0.1875</v>
      </c>
      <c r="Y4" s="37">
        <f>J6</f>
        <v>0.25</v>
      </c>
      <c r="Z4" s="37">
        <f>M6</f>
        <v>0.3125</v>
      </c>
      <c r="AA4" s="37">
        <f>P6</f>
        <v>0.375</v>
      </c>
      <c r="AB4" s="37">
        <f>S6</f>
        <v>0.39100000000000001</v>
      </c>
    </row>
    <row r="5" spans="1:28" x14ac:dyDescent="0.25">
      <c r="B5" s="37" t="s">
        <v>32</v>
      </c>
      <c r="C5" s="37" t="s">
        <v>64</v>
      </c>
      <c r="D5" s="39">
        <v>2.15</v>
      </c>
      <c r="E5" s="37" t="s">
        <v>2</v>
      </c>
      <c r="F5" s="37"/>
      <c r="G5" s="39">
        <v>2.15</v>
      </c>
      <c r="H5" s="37" t="s">
        <v>2</v>
      </c>
      <c r="I5" s="37"/>
      <c r="J5" s="39">
        <v>2.15</v>
      </c>
      <c r="K5" s="37" t="s">
        <v>2</v>
      </c>
      <c r="L5" s="37"/>
      <c r="M5" s="39">
        <v>2.15</v>
      </c>
      <c r="N5" s="37" t="s">
        <v>2</v>
      </c>
      <c r="O5" s="37"/>
      <c r="P5" s="39">
        <v>2.15</v>
      </c>
      <c r="Q5" s="37" t="s">
        <v>2</v>
      </c>
      <c r="R5" s="37"/>
      <c r="S5" s="39">
        <v>2.15</v>
      </c>
      <c r="T5" s="37" t="s">
        <v>2</v>
      </c>
      <c r="V5" s="38" t="s">
        <v>33</v>
      </c>
      <c r="W5" s="37">
        <f>D25</f>
        <v>1.02</v>
      </c>
      <c r="X5" s="37">
        <f>G25</f>
        <v>0.74</v>
      </c>
      <c r="Y5" s="37">
        <f>J25</f>
        <v>0.49</v>
      </c>
      <c r="Z5" s="37">
        <f>M25</f>
        <v>0.26500000000000001</v>
      </c>
      <c r="AA5" s="37">
        <f>P25</f>
        <v>0.05</v>
      </c>
      <c r="AB5" s="37">
        <v>0</v>
      </c>
    </row>
    <row r="6" spans="1:28" x14ac:dyDescent="0.25">
      <c r="B6" s="40" t="s">
        <v>34</v>
      </c>
      <c r="C6" s="41" t="s">
        <v>65</v>
      </c>
      <c r="D6" s="42">
        <v>0.125</v>
      </c>
      <c r="E6" s="40" t="s">
        <v>2</v>
      </c>
      <c r="F6" s="40"/>
      <c r="G6" s="42">
        <f>3/16</f>
        <v>0.1875</v>
      </c>
      <c r="H6" s="40" t="s">
        <v>2</v>
      </c>
      <c r="I6" s="40"/>
      <c r="J6" s="42">
        <v>0.25</v>
      </c>
      <c r="K6" s="40" t="s">
        <v>2</v>
      </c>
      <c r="L6" s="40"/>
      <c r="M6" s="42">
        <f>5/16</f>
        <v>0.3125</v>
      </c>
      <c r="N6" s="40" t="s">
        <v>2</v>
      </c>
      <c r="O6" s="40"/>
      <c r="P6" s="42">
        <f>3/8</f>
        <v>0.375</v>
      </c>
      <c r="Q6" s="40" t="s">
        <v>2</v>
      </c>
      <c r="R6" s="40"/>
      <c r="S6" s="42">
        <v>0.39100000000000001</v>
      </c>
      <c r="T6" s="40" t="s">
        <v>2</v>
      </c>
    </row>
    <row r="7" spans="1:28" x14ac:dyDescent="0.25">
      <c r="B7" s="37" t="s">
        <v>35</v>
      </c>
      <c r="C7" s="37" t="s">
        <v>66</v>
      </c>
      <c r="D7" s="39">
        <v>0</v>
      </c>
      <c r="E7" s="37" t="s">
        <v>2</v>
      </c>
      <c r="F7" s="37"/>
      <c r="G7" s="39">
        <v>0</v>
      </c>
      <c r="H7" s="37" t="s">
        <v>2</v>
      </c>
      <c r="I7" s="37"/>
      <c r="J7" s="39">
        <v>0</v>
      </c>
      <c r="K7" s="37" t="s">
        <v>2</v>
      </c>
      <c r="L7" s="37"/>
      <c r="M7" s="39">
        <v>0</v>
      </c>
      <c r="N7" s="37" t="s">
        <v>2</v>
      </c>
      <c r="O7" s="37"/>
      <c r="P7" s="39">
        <v>0</v>
      </c>
      <c r="Q7" s="37" t="s">
        <v>2</v>
      </c>
      <c r="R7" s="37"/>
      <c r="S7" s="39">
        <v>0</v>
      </c>
      <c r="T7" s="37" t="s">
        <v>2</v>
      </c>
    </row>
    <row r="8" spans="1:28" x14ac:dyDescent="0.25">
      <c r="B8" s="37" t="s">
        <v>36</v>
      </c>
      <c r="C8" s="37" t="s">
        <v>67</v>
      </c>
      <c r="D8" s="39">
        <v>0</v>
      </c>
      <c r="E8" s="37" t="s">
        <v>2</v>
      </c>
      <c r="F8" s="37"/>
      <c r="G8" s="39">
        <v>0</v>
      </c>
      <c r="H8" s="37" t="s">
        <v>2</v>
      </c>
      <c r="I8" s="37"/>
      <c r="J8" s="39">
        <v>0</v>
      </c>
      <c r="K8" s="37" t="s">
        <v>2</v>
      </c>
      <c r="L8" s="37"/>
      <c r="M8" s="39">
        <v>0</v>
      </c>
      <c r="N8" s="37" t="s">
        <v>2</v>
      </c>
      <c r="O8" s="37"/>
      <c r="P8" s="39">
        <v>0</v>
      </c>
      <c r="Q8" s="37" t="s">
        <v>2</v>
      </c>
      <c r="R8" s="37"/>
      <c r="S8" s="39">
        <v>0</v>
      </c>
      <c r="T8" s="37" t="s">
        <v>2</v>
      </c>
    </row>
    <row r="9" spans="1:28" x14ac:dyDescent="0.25">
      <c r="B9" s="37" t="s">
        <v>37</v>
      </c>
      <c r="C9" s="37"/>
      <c r="D9" s="39">
        <v>140</v>
      </c>
      <c r="E9" s="37" t="s">
        <v>6</v>
      </c>
      <c r="F9" s="37"/>
      <c r="G9" s="39">
        <v>140</v>
      </c>
      <c r="H9" s="37" t="s">
        <v>6</v>
      </c>
      <c r="I9" s="37"/>
      <c r="J9" s="39">
        <v>140</v>
      </c>
      <c r="K9" s="37" t="s">
        <v>6</v>
      </c>
      <c r="L9" s="37"/>
      <c r="M9" s="39">
        <v>140</v>
      </c>
      <c r="N9" s="37" t="s">
        <v>6</v>
      </c>
      <c r="O9" s="37"/>
      <c r="P9" s="39">
        <v>140</v>
      </c>
      <c r="Q9" s="37" t="s">
        <v>6</v>
      </c>
      <c r="R9" s="37"/>
      <c r="S9" s="39">
        <v>140</v>
      </c>
      <c r="T9" s="37" t="s">
        <v>6</v>
      </c>
    </row>
    <row r="10" spans="1:28" x14ac:dyDescent="0.25">
      <c r="B10" s="37" t="s">
        <v>38</v>
      </c>
      <c r="C10" s="37" t="s">
        <v>68</v>
      </c>
      <c r="D10" s="37">
        <f>D5-D6</f>
        <v>2.0249999999999999</v>
      </c>
      <c r="E10" s="37" t="s">
        <v>2</v>
      </c>
      <c r="F10" s="37"/>
      <c r="G10" s="37">
        <f>G5-G6</f>
        <v>1.9624999999999999</v>
      </c>
      <c r="H10" s="37" t="s">
        <v>2</v>
      </c>
      <c r="I10" s="37"/>
      <c r="J10" s="37">
        <f>J5-J6</f>
        <v>1.9</v>
      </c>
      <c r="K10" s="37" t="s">
        <v>2</v>
      </c>
      <c r="L10" s="37"/>
      <c r="M10" s="37">
        <f>M5-M6</f>
        <v>1.8374999999999999</v>
      </c>
      <c r="N10" s="37" t="s">
        <v>2</v>
      </c>
      <c r="O10" s="37"/>
      <c r="P10" s="37">
        <f>P5-P6</f>
        <v>1.7749999999999999</v>
      </c>
      <c r="Q10" s="37" t="s">
        <v>2</v>
      </c>
      <c r="R10" s="37"/>
      <c r="S10" s="37">
        <f>S5-S6</f>
        <v>1.7589999999999999</v>
      </c>
      <c r="T10" s="37" t="s">
        <v>2</v>
      </c>
    </row>
    <row r="11" spans="1:28" x14ac:dyDescent="0.25">
      <c r="B11" s="37" t="s">
        <v>39</v>
      </c>
      <c r="C11" s="37" t="s">
        <v>71</v>
      </c>
      <c r="D11" s="43">
        <v>0</v>
      </c>
      <c r="E11" s="37" t="s">
        <v>2</v>
      </c>
      <c r="F11" s="37"/>
      <c r="G11" s="43">
        <v>0</v>
      </c>
      <c r="H11" s="37" t="s">
        <v>2</v>
      </c>
      <c r="I11" s="37"/>
      <c r="J11" s="43">
        <v>0</v>
      </c>
      <c r="K11" s="37" t="s">
        <v>2</v>
      </c>
      <c r="L11" s="37"/>
      <c r="M11" s="43">
        <v>0</v>
      </c>
      <c r="N11" s="37" t="s">
        <v>2</v>
      </c>
      <c r="O11" s="37"/>
      <c r="P11" s="43">
        <v>0</v>
      </c>
      <c r="Q11" s="37" t="s">
        <v>2</v>
      </c>
      <c r="R11" s="37"/>
      <c r="S11" s="43">
        <v>0</v>
      </c>
      <c r="T11" s="37" t="s">
        <v>2</v>
      </c>
    </row>
    <row r="12" spans="1:28" x14ac:dyDescent="0.25">
      <c r="B12" s="37" t="s">
        <v>40</v>
      </c>
      <c r="C12" s="37" t="s">
        <v>69</v>
      </c>
      <c r="D12" s="37">
        <f>ACOS(D11/(D5-D6/2))</f>
        <v>1.5707963267948966</v>
      </c>
      <c r="E12" s="37" t="s">
        <v>17</v>
      </c>
      <c r="F12" s="37"/>
      <c r="G12" s="37">
        <f>ACOS(G11/(G5-G6/2))</f>
        <v>1.5707963267948966</v>
      </c>
      <c r="H12" s="37" t="s">
        <v>17</v>
      </c>
      <c r="I12" s="37"/>
      <c r="J12" s="37">
        <f>ACOS(J11/(J5-J6/2))</f>
        <v>1.5707963267948966</v>
      </c>
      <c r="K12" s="37" t="s">
        <v>17</v>
      </c>
      <c r="L12" s="37"/>
      <c r="M12" s="37">
        <f>ACOS(M11/(M5-M6/2))</f>
        <v>1.5707963267948966</v>
      </c>
      <c r="N12" s="37" t="s">
        <v>17</v>
      </c>
      <c r="O12" s="37"/>
      <c r="P12" s="37">
        <f>ACOS(P11/(P5-P6/2))</f>
        <v>1.5707963267948966</v>
      </c>
      <c r="Q12" s="37" t="s">
        <v>17</v>
      </c>
      <c r="R12" s="37"/>
      <c r="S12" s="37">
        <f>ACOS(S11/(S5-S6/2))</f>
        <v>1.5707963267948966</v>
      </c>
      <c r="T12" s="37" t="s">
        <v>17</v>
      </c>
    </row>
    <row r="13" spans="1:28" x14ac:dyDescent="0.25">
      <c r="B13" s="37"/>
      <c r="C13" s="37"/>
      <c r="D13" s="37">
        <f>D12/2/3.14159*360</f>
        <v>90.00007601981207</v>
      </c>
      <c r="E13" s="37" t="s">
        <v>41</v>
      </c>
      <c r="F13" s="37"/>
      <c r="G13" s="37">
        <f>G12/2/3.14159*360</f>
        <v>90.00007601981207</v>
      </c>
      <c r="H13" s="37" t="s">
        <v>41</v>
      </c>
      <c r="I13" s="37"/>
      <c r="J13" s="37">
        <f>J12/2/3.14159*360</f>
        <v>90.00007601981207</v>
      </c>
      <c r="K13" s="37" t="s">
        <v>41</v>
      </c>
      <c r="L13" s="37"/>
      <c r="M13" s="37">
        <f>M12/2/3.14159*360</f>
        <v>90.00007601981207</v>
      </c>
      <c r="N13" s="37" t="s">
        <v>41</v>
      </c>
      <c r="O13" s="37"/>
      <c r="P13" s="37">
        <f>P12/2/3.14159*360</f>
        <v>90.00007601981207</v>
      </c>
      <c r="Q13" s="37" t="s">
        <v>41</v>
      </c>
      <c r="R13" s="37"/>
      <c r="S13" s="37">
        <f>S12/2/3.14159*360</f>
        <v>90.00007601981207</v>
      </c>
      <c r="T13" s="37" t="s">
        <v>41</v>
      </c>
    </row>
    <row r="14" spans="1:28" x14ac:dyDescent="0.25">
      <c r="B14" s="37" t="s">
        <v>42</v>
      </c>
      <c r="C14" s="37" t="s">
        <v>70</v>
      </c>
      <c r="D14" s="37">
        <f>D13/180</f>
        <v>0.50000042233228925</v>
      </c>
      <c r="E14" s="37"/>
      <c r="F14" s="37"/>
      <c r="G14" s="37">
        <f>G13/180</f>
        <v>0.50000042233228925</v>
      </c>
      <c r="H14" s="37"/>
      <c r="I14" s="37"/>
      <c r="J14" s="37">
        <f>J13/180</f>
        <v>0.50000042233228925</v>
      </c>
      <c r="K14" s="37"/>
      <c r="L14" s="37"/>
      <c r="M14" s="37">
        <f>M13/180</f>
        <v>0.50000042233228925</v>
      </c>
      <c r="N14" s="37"/>
      <c r="O14" s="37"/>
      <c r="P14" s="37">
        <f>P13/180</f>
        <v>0.50000042233228925</v>
      </c>
      <c r="Q14" s="37"/>
      <c r="R14" s="37"/>
      <c r="S14" s="37">
        <f>S13/180</f>
        <v>0.50000042233228925</v>
      </c>
      <c r="T14" s="37"/>
    </row>
    <row r="15" spans="1:28" x14ac:dyDescent="0.25">
      <c r="B15" s="37" t="s">
        <v>43</v>
      </c>
      <c r="C15" s="37"/>
      <c r="D15" s="37">
        <f>D14*3.14159*(D5^2-D10^2)</f>
        <v>0.81975933304608606</v>
      </c>
      <c r="E15" s="37" t="s">
        <v>19</v>
      </c>
      <c r="F15" s="37"/>
      <c r="G15" s="37">
        <f>G14*3.14159*(G5^2-G10^2)</f>
        <v>1.2112312301145021</v>
      </c>
      <c r="H15" s="37" t="s">
        <v>19</v>
      </c>
      <c r="I15" s="37"/>
      <c r="J15" s="37">
        <f>J14*3.14159*(J5^2-J10^2)</f>
        <v>1.5904312808798324</v>
      </c>
      <c r="K15" s="37" t="s">
        <v>19</v>
      </c>
      <c r="L15" s="37"/>
      <c r="M15" s="37">
        <f>M14*3.14159*(M5^2-M10^2)</f>
        <v>1.9573594853420782</v>
      </c>
      <c r="N15" s="37" t="s">
        <v>19</v>
      </c>
      <c r="O15" s="37"/>
      <c r="P15" s="37">
        <f>P14*3.14159*(P5^2-P10^2)</f>
        <v>2.3120158435012379</v>
      </c>
      <c r="Q15" s="37" t="s">
        <v>19</v>
      </c>
      <c r="R15" s="37"/>
      <c r="S15" s="37">
        <f>S14*3.14159*(S5^2-S10^2)</f>
        <v>2.4008349510035289</v>
      </c>
      <c r="T15" s="37" t="s">
        <v>19</v>
      </c>
    </row>
    <row r="16" spans="1:28" x14ac:dyDescent="0.25">
      <c r="B16" s="37" t="s">
        <v>44</v>
      </c>
      <c r="C16" s="37"/>
      <c r="D16" s="37">
        <f>D15*D4</f>
        <v>6.1481949978456454</v>
      </c>
      <c r="E16" s="37" t="s">
        <v>9</v>
      </c>
      <c r="F16" s="37"/>
      <c r="G16" s="37">
        <f>G15*G4</f>
        <v>9.0842342258587649</v>
      </c>
      <c r="H16" s="37" t="s">
        <v>9</v>
      </c>
      <c r="I16" s="37"/>
      <c r="J16" s="37">
        <f>J15*J4</f>
        <v>11.928234606598743</v>
      </c>
      <c r="K16" s="37" t="s">
        <v>9</v>
      </c>
      <c r="L16" s="37"/>
      <c r="M16" s="37">
        <f>M15*M4</f>
        <v>14.680196140065586</v>
      </c>
      <c r="N16" s="37" t="s">
        <v>9</v>
      </c>
      <c r="O16" s="37"/>
      <c r="P16" s="37">
        <f>P15*P4</f>
        <v>17.340118826259285</v>
      </c>
      <c r="Q16" s="37" t="s">
        <v>9</v>
      </c>
      <c r="R16" s="37"/>
      <c r="S16" s="37">
        <f>S15*S4</f>
        <v>18.006262132526466</v>
      </c>
      <c r="T16" s="37" t="s">
        <v>9</v>
      </c>
    </row>
    <row r="17" spans="1:20" x14ac:dyDescent="0.25">
      <c r="B17" s="37" t="s">
        <v>45</v>
      </c>
      <c r="C17" s="37"/>
      <c r="D17" s="37">
        <f>(D10^2/2*(2*D12-SIN(2*D12))+D8*(D10-D11))*D6</f>
        <v>0.80515583594541529</v>
      </c>
      <c r="E17" s="37" t="s">
        <v>9</v>
      </c>
      <c r="F17" s="37"/>
      <c r="G17" s="37">
        <f>(G10^2/2*(2*G12-SIN(2*G12))+G8*(G10-G11))*G6</f>
        <v>1.1343327732177948</v>
      </c>
      <c r="H17" s="37" t="s">
        <v>9</v>
      </c>
      <c r="I17" s="37"/>
      <c r="J17" s="37">
        <f>(J10^2/2*(2*J12-SIN(2*J12))+J8*(J10-J11))*J6</f>
        <v>1.4176436849323941</v>
      </c>
      <c r="K17" s="37" t="s">
        <v>9</v>
      </c>
      <c r="L17" s="37"/>
      <c r="M17" s="37">
        <f>(M10^2/2*(2*M12-SIN(2*M12))+M8*(M10-M11))*M6</f>
        <v>1.6573895422710407</v>
      </c>
      <c r="N17" s="37" t="s">
        <v>9</v>
      </c>
      <c r="O17" s="37"/>
      <c r="P17" s="37">
        <f>(P10^2/2*(2*P12-SIN(2*P12))+P8*(P10-P11))*P6</f>
        <v>1.855871316415564</v>
      </c>
      <c r="Q17" s="37" t="s">
        <v>9</v>
      </c>
      <c r="R17" s="37"/>
      <c r="S17" s="37">
        <f>(S10^2/2*(2*S12-SIN(2*S12))+S8*(S10-S11))*S6</f>
        <v>1.900326888215899</v>
      </c>
      <c r="T17" s="37" t="s">
        <v>9</v>
      </c>
    </row>
    <row r="18" spans="1:20" x14ac:dyDescent="0.25">
      <c r="B18" s="37" t="s">
        <v>46</v>
      </c>
      <c r="C18" s="37"/>
      <c r="D18" s="37">
        <f>D7*D8*D4</f>
        <v>0</v>
      </c>
      <c r="E18" s="37" t="s">
        <v>9</v>
      </c>
      <c r="F18" s="37"/>
      <c r="G18" s="37">
        <f>G7*G8*0.25</f>
        <v>0</v>
      </c>
      <c r="H18" s="37" t="s">
        <v>9</v>
      </c>
      <c r="I18" s="37"/>
      <c r="J18" s="37">
        <f>J7*J8*J4</f>
        <v>0</v>
      </c>
      <c r="K18" s="37" t="s">
        <v>9</v>
      </c>
      <c r="L18" s="37"/>
      <c r="M18" s="37">
        <f>M7*M8*M4</f>
        <v>0</v>
      </c>
      <c r="N18" s="37" t="s">
        <v>9</v>
      </c>
      <c r="O18" s="37"/>
      <c r="P18" s="37">
        <f>P7*P8*P4</f>
        <v>0</v>
      </c>
      <c r="Q18" s="37" t="s">
        <v>9</v>
      </c>
      <c r="R18" s="37"/>
      <c r="S18" s="37">
        <f>S7*S8*S4</f>
        <v>0</v>
      </c>
      <c r="T18" s="37" t="s">
        <v>9</v>
      </c>
    </row>
    <row r="19" spans="1:20" x14ac:dyDescent="0.25">
      <c r="B19" s="37" t="s">
        <v>47</v>
      </c>
      <c r="C19" s="37"/>
      <c r="D19" s="37">
        <f>D16+2*D17+D18</f>
        <v>7.7585066697364757</v>
      </c>
      <c r="E19" s="37" t="s">
        <v>9</v>
      </c>
      <c r="F19" s="37"/>
      <c r="G19" s="37">
        <f>G16+2*G17+G18</f>
        <v>11.352899772294354</v>
      </c>
      <c r="H19" s="37" t="s">
        <v>9</v>
      </c>
      <c r="I19" s="37"/>
      <c r="J19" s="37">
        <f>J16+2*J17+J18</f>
        <v>14.763521976463531</v>
      </c>
      <c r="K19" s="37" t="s">
        <v>9</v>
      </c>
      <c r="L19" s="37"/>
      <c r="M19" s="37">
        <f>M16+2*M17+M18</f>
        <v>17.994975224607668</v>
      </c>
      <c r="N19" s="37" t="s">
        <v>9</v>
      </c>
      <c r="O19" s="37"/>
      <c r="P19" s="37">
        <f>P16+2*P17+P18</f>
        <v>21.051861459090414</v>
      </c>
      <c r="Q19" s="37" t="s">
        <v>9</v>
      </c>
      <c r="R19" s="37"/>
      <c r="S19" s="37">
        <f>S16+2*S17+S18</f>
        <v>21.806915908958263</v>
      </c>
      <c r="T19" s="37" t="s">
        <v>9</v>
      </c>
    </row>
    <row r="20" spans="1:20" x14ac:dyDescent="0.25">
      <c r="B20" s="37"/>
      <c r="C20" s="37"/>
      <c r="D20" s="37">
        <f>D9/12^3</f>
        <v>8.1018518518518517E-2</v>
      </c>
      <c r="E20" s="37" t="s">
        <v>48</v>
      </c>
      <c r="F20" s="37"/>
      <c r="G20" s="37">
        <f>G9/12^3</f>
        <v>8.1018518518518517E-2</v>
      </c>
      <c r="H20" s="37" t="s">
        <v>48</v>
      </c>
      <c r="I20" s="37"/>
      <c r="J20" s="37">
        <f>J9/12^3</f>
        <v>8.1018518518518517E-2</v>
      </c>
      <c r="K20" s="37" t="s">
        <v>48</v>
      </c>
      <c r="L20" s="37"/>
      <c r="M20" s="37">
        <f>M9/12^3</f>
        <v>8.1018518518518517E-2</v>
      </c>
      <c r="N20" s="37" t="s">
        <v>48</v>
      </c>
      <c r="O20" s="37"/>
      <c r="P20" s="37">
        <f>P9/12^3</f>
        <v>8.1018518518518517E-2</v>
      </c>
      <c r="Q20" s="37" t="s">
        <v>48</v>
      </c>
      <c r="R20" s="37"/>
      <c r="S20" s="37">
        <f>S9/12^3</f>
        <v>8.1018518518518517E-2</v>
      </c>
      <c r="T20" s="37" t="s">
        <v>48</v>
      </c>
    </row>
    <row r="21" spans="1:20" x14ac:dyDescent="0.25">
      <c r="B21" s="37" t="s">
        <v>49</v>
      </c>
      <c r="C21" s="37" t="s">
        <v>78</v>
      </c>
      <c r="D21" s="37">
        <f>D19*D20</f>
        <v>0.62858271629809415</v>
      </c>
      <c r="E21" s="37" t="s">
        <v>11</v>
      </c>
      <c r="F21" s="37"/>
      <c r="G21" s="37">
        <f>G19*G20</f>
        <v>0.9197951204405147</v>
      </c>
      <c r="H21" s="37" t="s">
        <v>11</v>
      </c>
      <c r="I21" s="37"/>
      <c r="J21" s="37">
        <f>J19*J20</f>
        <v>1.1961186786486657</v>
      </c>
      <c r="K21" s="37" t="s">
        <v>11</v>
      </c>
      <c r="L21" s="37"/>
      <c r="M21" s="37">
        <f>M19*M20</f>
        <v>1.4579262334751582</v>
      </c>
      <c r="N21" s="37" t="s">
        <v>11</v>
      </c>
      <c r="O21" s="37"/>
      <c r="P21" s="37">
        <f>P19*P20</f>
        <v>1.7055906274726029</v>
      </c>
      <c r="Q21" s="37" t="s">
        <v>11</v>
      </c>
      <c r="R21" s="37"/>
      <c r="S21" s="37">
        <f>S19*S20</f>
        <v>1.7667640204017112</v>
      </c>
      <c r="T21" s="37" t="s">
        <v>11</v>
      </c>
    </row>
    <row r="22" spans="1:20" x14ac:dyDescent="0.25">
      <c r="B22" s="37" t="s">
        <v>50</v>
      </c>
      <c r="C22" s="37" t="s">
        <v>72</v>
      </c>
      <c r="D22" s="37">
        <v>0.2</v>
      </c>
      <c r="E22" s="37" t="s">
        <v>11</v>
      </c>
      <c r="F22" s="37"/>
      <c r="G22" s="37">
        <v>0.2</v>
      </c>
      <c r="H22" s="37" t="s">
        <v>11</v>
      </c>
      <c r="I22" s="37"/>
      <c r="J22" s="37">
        <v>0.2</v>
      </c>
      <c r="K22" s="37" t="s">
        <v>11</v>
      </c>
      <c r="L22" s="37"/>
      <c r="M22" s="37">
        <v>0.2</v>
      </c>
      <c r="N22" s="37" t="s">
        <v>11</v>
      </c>
      <c r="O22" s="37"/>
      <c r="P22" s="37">
        <v>0.2</v>
      </c>
      <c r="Q22" s="37" t="s">
        <v>11</v>
      </c>
      <c r="R22" s="37"/>
      <c r="S22" s="37">
        <v>0.2</v>
      </c>
      <c r="T22" s="37" t="s">
        <v>11</v>
      </c>
    </row>
    <row r="23" spans="1:20" x14ac:dyDescent="0.25">
      <c r="B23" s="44" t="s">
        <v>51</v>
      </c>
      <c r="C23" s="45" t="s">
        <v>74</v>
      </c>
      <c r="D23" s="46">
        <f>D21+D22</f>
        <v>0.8285827162980941</v>
      </c>
      <c r="E23" s="44" t="s">
        <v>11</v>
      </c>
      <c r="F23" s="37"/>
      <c r="G23" s="46">
        <f>G21+G22</f>
        <v>1.1197951204405148</v>
      </c>
      <c r="H23" s="44" t="s">
        <v>11</v>
      </c>
      <c r="I23" s="37"/>
      <c r="J23" s="46">
        <f>J21+J22</f>
        <v>1.3961186786486657</v>
      </c>
      <c r="K23" s="44" t="s">
        <v>11</v>
      </c>
      <c r="L23" s="37"/>
      <c r="M23" s="46">
        <f>M21+M22</f>
        <v>1.6579262334751581</v>
      </c>
      <c r="N23" s="44" t="s">
        <v>11</v>
      </c>
      <c r="O23" s="37"/>
      <c r="P23" s="46">
        <f>P21+P22</f>
        <v>1.9055906274726029</v>
      </c>
      <c r="Q23" s="44" t="s">
        <v>11</v>
      </c>
      <c r="R23" s="37"/>
      <c r="S23" s="46">
        <f>S21+S22</f>
        <v>1.9667640204017112</v>
      </c>
      <c r="T23" s="44" t="s">
        <v>11</v>
      </c>
    </row>
    <row r="24" spans="1:20" ht="9" customHeight="1" thickBot="1" x14ac:dyDescent="0.3">
      <c r="A24" s="50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</row>
    <row r="25" spans="1:20" x14ac:dyDescent="0.25">
      <c r="A25" t="s">
        <v>52</v>
      </c>
      <c r="B25" s="47" t="s">
        <v>53</v>
      </c>
      <c r="C25" s="48" t="s">
        <v>73</v>
      </c>
      <c r="D25" s="49">
        <v>1.02</v>
      </c>
      <c r="E25" s="47" t="s">
        <v>2</v>
      </c>
      <c r="F25" s="47"/>
      <c r="G25" s="49">
        <v>0.74</v>
      </c>
      <c r="H25" s="47" t="s">
        <v>2</v>
      </c>
      <c r="I25" s="47"/>
      <c r="J25" s="49">
        <v>0.49</v>
      </c>
      <c r="K25" s="47" t="s">
        <v>2</v>
      </c>
      <c r="L25" s="47"/>
      <c r="M25" s="49">
        <v>0.26500000000000001</v>
      </c>
      <c r="N25" s="47" t="s">
        <v>2</v>
      </c>
      <c r="O25" s="47"/>
      <c r="P25" s="49">
        <v>0.05</v>
      </c>
      <c r="Q25" s="47" t="s">
        <v>2</v>
      </c>
      <c r="R25" s="47"/>
      <c r="S25" s="49">
        <v>0</v>
      </c>
      <c r="T25" s="47" t="s">
        <v>2</v>
      </c>
    </row>
    <row r="26" spans="1:20" x14ac:dyDescent="0.25">
      <c r="B26" s="37" t="s">
        <v>54</v>
      </c>
      <c r="C26" s="37" t="s">
        <v>75</v>
      </c>
      <c r="D26" s="37">
        <f>ACOS((D25+D11)/D5)</f>
        <v>1.0764928645560385</v>
      </c>
      <c r="E26" s="37" t="s">
        <v>17</v>
      </c>
      <c r="F26" s="37"/>
      <c r="G26" s="37">
        <f>ACOS((G25+G11)/G5)</f>
        <v>1.2194246006989293</v>
      </c>
      <c r="H26" s="37" t="s">
        <v>17</v>
      </c>
      <c r="I26" s="37"/>
      <c r="J26" s="37">
        <f>ACOS((J25+J11)/J5)</f>
        <v>1.3408687809671158</v>
      </c>
      <c r="K26" s="37" t="s">
        <v>17</v>
      </c>
      <c r="L26" s="37"/>
      <c r="M26" s="37">
        <f>ACOS((M25+M11)/M5)</f>
        <v>1.4472262761865113</v>
      </c>
      <c r="N26" s="37" t="s">
        <v>17</v>
      </c>
      <c r="O26" s="37"/>
      <c r="P26" s="37">
        <f>ACOS((P25+P11)/P5)</f>
        <v>1.547538416079586</v>
      </c>
      <c r="Q26" s="37" t="s">
        <v>17</v>
      </c>
      <c r="R26" s="37"/>
      <c r="S26" s="37">
        <f>ACOS((S25+S11)/S5)</f>
        <v>1.5707963267948966</v>
      </c>
      <c r="T26" s="37" t="s">
        <v>17</v>
      </c>
    </row>
    <row r="27" spans="1:20" x14ac:dyDescent="0.25">
      <c r="B27" s="37" t="s">
        <v>55</v>
      </c>
      <c r="C27" s="37" t="s">
        <v>76</v>
      </c>
      <c r="D27" s="37">
        <f>D5^2/2*(2*D26-SIN(2*D26))+D8*D25</f>
        <v>3.0455917396068859</v>
      </c>
      <c r="E27" s="37" t="s">
        <v>19</v>
      </c>
      <c r="F27" s="37"/>
      <c r="G27" s="37">
        <f>G5^2/2*(2*G26-SIN(2*G26))+G8*G25</f>
        <v>4.1429979821814307</v>
      </c>
      <c r="H27" s="37" t="s">
        <v>19</v>
      </c>
      <c r="I27" s="37"/>
      <c r="J27" s="37">
        <f>J5^2/2*(2*J26-SIN(2*J26))+J8*J25</f>
        <v>5.1723909939431367</v>
      </c>
      <c r="K27" s="37" t="s">
        <v>19</v>
      </c>
      <c r="L27" s="37"/>
      <c r="M27" s="37">
        <f>M5^2/2*(2*M26-SIN(2*M26))+M8*M25</f>
        <v>6.1243978445484766</v>
      </c>
      <c r="N27" s="37" t="s">
        <v>19</v>
      </c>
      <c r="O27" s="37"/>
      <c r="P27" s="37">
        <f>P5^2/2*(2*P26-SIN(2*P26))+P8*P25</f>
        <v>7.0460254020268618</v>
      </c>
      <c r="Q27" s="37" t="s">
        <v>19</v>
      </c>
      <c r="R27" s="37"/>
      <c r="S27" s="37">
        <f>S5^2/2*(2*S26-SIN(2*S26))+S8*S25</f>
        <v>7.2610060206094085</v>
      </c>
      <c r="T27" s="37" t="s">
        <v>19</v>
      </c>
    </row>
    <row r="28" spans="1:20" x14ac:dyDescent="0.25">
      <c r="B28" s="37" t="s">
        <v>56</v>
      </c>
      <c r="C28" s="37" t="s">
        <v>77</v>
      </c>
      <c r="D28" s="37">
        <f>D27*D4</f>
        <v>22.841938047051645</v>
      </c>
      <c r="E28" s="37" t="s">
        <v>9</v>
      </c>
      <c r="F28" s="37"/>
      <c r="G28" s="37">
        <f>G27*G4</f>
        <v>31.072484866360732</v>
      </c>
      <c r="H28" s="37" t="s">
        <v>9</v>
      </c>
      <c r="I28" s="37"/>
      <c r="J28" s="37">
        <f>J27*J4</f>
        <v>38.792932454573524</v>
      </c>
      <c r="K28" s="37" t="s">
        <v>9</v>
      </c>
      <c r="L28" s="37"/>
      <c r="M28" s="37">
        <f>M27*M4</f>
        <v>45.932983834113571</v>
      </c>
      <c r="N28" s="37" t="s">
        <v>9</v>
      </c>
      <c r="O28" s="37"/>
      <c r="P28" s="37">
        <f>P27*P4</f>
        <v>52.845190515201466</v>
      </c>
      <c r="Q28" s="37" t="s">
        <v>9</v>
      </c>
      <c r="R28" s="37"/>
      <c r="S28" s="37">
        <f>S27*S4</f>
        <v>54.45754515457056</v>
      </c>
      <c r="T28" s="37" t="s">
        <v>9</v>
      </c>
    </row>
    <row r="29" spans="1:20" x14ac:dyDescent="0.25">
      <c r="B29" s="37" t="s">
        <v>57</v>
      </c>
      <c r="C29" s="37"/>
      <c r="D29" s="37">
        <v>62.43</v>
      </c>
      <c r="E29" s="37" t="s">
        <v>6</v>
      </c>
      <c r="F29" s="37"/>
      <c r="G29" s="37">
        <v>62.43</v>
      </c>
      <c r="H29" s="37" t="s">
        <v>6</v>
      </c>
      <c r="I29" s="37"/>
      <c r="J29" s="37">
        <v>62.43</v>
      </c>
      <c r="K29" s="37" t="s">
        <v>6</v>
      </c>
      <c r="L29" s="37"/>
      <c r="M29" s="37">
        <v>62.43</v>
      </c>
      <c r="N29" s="37" t="s">
        <v>6</v>
      </c>
      <c r="O29" s="37"/>
      <c r="P29" s="37">
        <v>62.43</v>
      </c>
      <c r="Q29" s="37" t="s">
        <v>6</v>
      </c>
      <c r="R29" s="37"/>
      <c r="S29" s="37">
        <v>62.43</v>
      </c>
      <c r="T29" s="37" t="s">
        <v>6</v>
      </c>
    </row>
    <row r="30" spans="1:20" ht="3.75" customHeight="1" x14ac:dyDescent="0.25">
      <c r="B30" s="37"/>
      <c r="C30" s="37"/>
      <c r="D30" s="37">
        <f>D29/12^3</f>
        <v>3.6128472222222222E-2</v>
      </c>
      <c r="E30" s="37" t="s">
        <v>48</v>
      </c>
      <c r="F30" s="37"/>
      <c r="G30" s="37">
        <f>G29/12^3</f>
        <v>3.6128472222222222E-2</v>
      </c>
      <c r="H30" s="37" t="s">
        <v>48</v>
      </c>
      <c r="I30" s="37"/>
      <c r="J30" s="37">
        <f>J29/12^3</f>
        <v>3.6128472222222222E-2</v>
      </c>
      <c r="K30" s="37" t="s">
        <v>48</v>
      </c>
      <c r="L30" s="37"/>
      <c r="M30" s="37">
        <f>M29/12^3</f>
        <v>3.6128472222222222E-2</v>
      </c>
      <c r="N30" s="37" t="s">
        <v>48</v>
      </c>
      <c r="O30" s="37"/>
      <c r="P30" s="37">
        <f>P29/12^3</f>
        <v>3.6128472222222222E-2</v>
      </c>
      <c r="Q30" s="37" t="s">
        <v>48</v>
      </c>
      <c r="R30" s="37"/>
      <c r="S30" s="37">
        <f>S29/12^3</f>
        <v>3.6128472222222222E-2</v>
      </c>
      <c r="T30" s="37" t="s">
        <v>48</v>
      </c>
    </row>
    <row r="31" spans="1:20" x14ac:dyDescent="0.25">
      <c r="B31" s="44" t="s">
        <v>22</v>
      </c>
      <c r="C31" s="45" t="s">
        <v>79</v>
      </c>
      <c r="D31" s="46">
        <f>D28*D30</f>
        <v>0.82524432423462624</v>
      </c>
      <c r="E31" s="44" t="s">
        <v>11</v>
      </c>
      <c r="F31" s="37"/>
      <c r="G31" s="46">
        <f>G28*G30</f>
        <v>1.122601406369734</v>
      </c>
      <c r="H31" s="44" t="s">
        <v>11</v>
      </c>
      <c r="I31" s="37"/>
      <c r="J31" s="46">
        <f>J28*J30</f>
        <v>1.4015293826036024</v>
      </c>
      <c r="K31" s="44" t="s">
        <v>11</v>
      </c>
      <c r="L31" s="37"/>
      <c r="M31" s="46">
        <f>M28*M30</f>
        <v>1.6594885305345546</v>
      </c>
      <c r="N31" s="44" t="s">
        <v>11</v>
      </c>
      <c r="O31" s="37"/>
      <c r="P31" s="46">
        <f>P28*P30</f>
        <v>1.9092159976064973</v>
      </c>
      <c r="Q31" s="44" t="s">
        <v>11</v>
      </c>
      <c r="R31" s="37"/>
      <c r="S31" s="46">
        <f>S28*S30</f>
        <v>1.9674679074073149</v>
      </c>
      <c r="T31" s="44" t="s">
        <v>11</v>
      </c>
    </row>
    <row r="32" spans="1:20" ht="5.25" customHeight="1" x14ac:dyDescent="0.25"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</row>
    <row r="33" spans="2:20" x14ac:dyDescent="0.25">
      <c r="B33" s="37" t="s">
        <v>59</v>
      </c>
      <c r="C33" s="37" t="s">
        <v>80</v>
      </c>
      <c r="D33" s="37">
        <f>ASIN((D25+D11)/D5)-ASIN(D11/D5)</f>
        <v>0.49430346223885807</v>
      </c>
      <c r="E33" s="37" t="s">
        <v>17</v>
      </c>
      <c r="F33" s="37"/>
      <c r="G33" s="37">
        <f>ASIN((G25+G11)/G5)-ASIN(G11/G5)</f>
        <v>0.35137172609596729</v>
      </c>
      <c r="H33" s="37" t="s">
        <v>17</v>
      </c>
      <c r="I33" s="37"/>
      <c r="J33" s="37">
        <f>ASIN((J25+J11)/J5)-ASIN(J11/J5)</f>
        <v>0.22992754582778072</v>
      </c>
      <c r="K33" s="37" t="s">
        <v>17</v>
      </c>
      <c r="L33" s="37"/>
      <c r="M33" s="37">
        <f>ASIN((M25+M11)/M5)-ASIN(M11/M5)</f>
        <v>0.12357005060838512</v>
      </c>
      <c r="N33" s="37" t="s">
        <v>17</v>
      </c>
      <c r="O33" s="37"/>
      <c r="P33" s="37">
        <f>ASIN((P25+P11)/P5)-ASIN(P11/P5)</f>
        <v>2.3257910715310554E-2</v>
      </c>
      <c r="Q33" s="37" t="s">
        <v>17</v>
      </c>
      <c r="R33" s="37"/>
      <c r="S33" s="37">
        <f>ASIN((S25+S11)/S5)-ASIN(S11/S5)</f>
        <v>0</v>
      </c>
      <c r="T33" s="37" t="s">
        <v>17</v>
      </c>
    </row>
    <row r="34" spans="2:20" x14ac:dyDescent="0.25">
      <c r="B34" s="37"/>
      <c r="C34" s="37"/>
      <c r="D34" s="37">
        <f>D33/2/3.14159*360</f>
        <v>28.321526107160533</v>
      </c>
      <c r="E34" s="37" t="s">
        <v>58</v>
      </c>
      <c r="F34" s="37"/>
      <c r="G34" s="37">
        <f>G33/2/3.14159*360</f>
        <v>20.13213395041177</v>
      </c>
      <c r="H34" s="37" t="s">
        <v>58</v>
      </c>
      <c r="I34" s="37"/>
      <c r="J34" s="37">
        <f>J33/2/3.14159*360</f>
        <v>13.173889097240739</v>
      </c>
      <c r="K34" s="37" t="s">
        <v>58</v>
      </c>
      <c r="L34" s="37"/>
      <c r="M34" s="37">
        <f>M33/2/3.14159*360</f>
        <v>7.0800483543394659</v>
      </c>
      <c r="N34" s="37" t="s">
        <v>58</v>
      </c>
      <c r="O34" s="37"/>
      <c r="P34" s="37">
        <f>P33/2/3.14159*360</f>
        <v>1.3325812498626173</v>
      </c>
      <c r="Q34" s="37" t="s">
        <v>58</v>
      </c>
      <c r="R34" s="37"/>
      <c r="S34" s="37">
        <f>S33/2/3.14159*360</f>
        <v>0</v>
      </c>
      <c r="T34" s="37" t="s">
        <v>58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3104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basic buoyancy calc</vt:lpstr>
      <vt:lpstr>advanced buoyancy calcs</vt:lpstr>
      <vt:lpstr>freeboard vs thickness graph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Ressler</dc:creator>
  <dc:description/>
  <cp:lastModifiedBy>Stephen Ressler</cp:lastModifiedBy>
  <cp:revision>5</cp:revision>
  <dcterms:created xsi:type="dcterms:W3CDTF">2016-09-22T21:01:13Z</dcterms:created>
  <dcterms:modified xsi:type="dcterms:W3CDTF">2017-09-16T14:48:09Z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